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R:\Region0\RIO\Public\Grants\2023 Culverts\Downeast\2. Draft application\"/>
    </mc:Choice>
  </mc:AlternateContent>
  <xr:revisionPtr revIDLastSave="0" documentId="14_{6BA78942-E5B0-4BFB-B71C-DB65CCD37C93}" xr6:coauthVersionLast="47" xr6:coauthVersionMax="47" xr10:uidLastSave="{00000000-0000-0000-0000-000000000000}"/>
  <bookViews>
    <workbookView xWindow="-108" yWindow="-108" windowWidth="23256" windowHeight="12576" xr2:uid="{18DEA2DA-5457-45FB-B246-CB89EDB1160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8" i="1" l="1"/>
  <c r="S7" i="1"/>
  <c r="S6" i="1"/>
  <c r="S5" i="1"/>
  <c r="S4" i="1"/>
  <c r="S3" i="1"/>
  <c r="P8" i="1"/>
  <c r="P7" i="1"/>
  <c r="P6" i="1"/>
  <c r="P5" i="1"/>
  <c r="P4" i="1"/>
  <c r="P3" i="1"/>
  <c r="H9" i="1" l="1"/>
  <c r="J9" i="1"/>
  <c r="K8" i="1"/>
  <c r="O8" i="1" s="1"/>
  <c r="G8" i="1"/>
  <c r="K7" i="1"/>
  <c r="O7" i="1" s="1"/>
  <c r="G7" i="1"/>
  <c r="M7" i="1" s="1"/>
  <c r="N7" i="1" s="1"/>
  <c r="K6" i="1"/>
  <c r="G6" i="1"/>
  <c r="K5" i="1"/>
  <c r="O5" i="1" s="1"/>
  <c r="G5" i="1"/>
  <c r="K4" i="1"/>
  <c r="I4" i="1"/>
  <c r="I9" i="1" s="1"/>
  <c r="G4" i="1"/>
  <c r="N4" i="1" s="1"/>
  <c r="K3" i="1"/>
  <c r="O3" i="1" s="1"/>
  <c r="G3" i="1"/>
  <c r="M5" i="1" l="1"/>
  <c r="N5" i="1" s="1"/>
  <c r="M8" i="1"/>
  <c r="N8" i="1" s="1"/>
  <c r="O4" i="1"/>
  <c r="L9" i="1"/>
  <c r="K9" i="1"/>
  <c r="M6" i="1"/>
  <c r="N6" i="1" s="1"/>
  <c r="G9" i="1"/>
  <c r="O6" i="1"/>
  <c r="N3" i="1" l="1"/>
  <c r="N9" i="1" s="1"/>
  <c r="P9" i="1"/>
  <c r="S9" i="1"/>
  <c r="O9" i="1"/>
  <c r="M9" i="1" l="1"/>
</calcChain>
</file>

<file path=xl/sharedStrings.xml><?xml version="1.0" encoding="utf-8"?>
<sst xmlns="http://schemas.openxmlformats.org/spreadsheetml/2006/main" count="57" uniqueCount="38">
  <si>
    <t>Bundle ID</t>
  </si>
  <si>
    <t>Stream</t>
  </si>
  <si>
    <t>Asset Name</t>
  </si>
  <si>
    <r>
      <t>MSHV ID</t>
    </r>
    <r>
      <rPr>
        <b/>
        <vertAlign val="superscript"/>
        <sz val="10"/>
        <color theme="1"/>
        <rFont val="Times New Roman"/>
        <family val="1"/>
      </rPr>
      <t>1</t>
    </r>
  </si>
  <si>
    <t>MaineDOT Asset ID</t>
  </si>
  <si>
    <t>Town</t>
  </si>
  <si>
    <r>
      <t>Pre-construction Cost Estimate in 2023 Dollars</t>
    </r>
    <r>
      <rPr>
        <b/>
        <vertAlign val="superscript"/>
        <sz val="10"/>
        <color theme="1"/>
        <rFont val="Times New Roman"/>
        <family val="1"/>
      </rPr>
      <t>2</t>
    </r>
  </si>
  <si>
    <t>Previously Incurred Costs</t>
  </si>
  <si>
    <r>
      <t>Construction Cost Estimate in 2023 Dollars</t>
    </r>
    <r>
      <rPr>
        <b/>
        <vertAlign val="superscript"/>
        <sz val="10"/>
        <color theme="1"/>
        <rFont val="Times New Roman"/>
        <family val="1"/>
      </rPr>
      <t>3</t>
    </r>
  </si>
  <si>
    <t>Construction Contingency (10%)</t>
  </si>
  <si>
    <r>
      <t xml:space="preserve"> Total Bundled Cost Estimate in 2023 Dollars</t>
    </r>
    <r>
      <rPr>
        <b/>
        <vertAlign val="superscript"/>
        <sz val="10"/>
        <color theme="1"/>
        <rFont val="Times New Roman"/>
        <family val="1"/>
      </rPr>
      <t xml:space="preserve"> </t>
    </r>
    <r>
      <rPr>
        <b/>
        <sz val="10"/>
        <color theme="1"/>
        <rFont val="Times New Roman"/>
        <family val="1"/>
      </rPr>
      <t xml:space="preserve"> </t>
    </r>
  </si>
  <si>
    <r>
      <t>Total Un-bundled Cost Estimate in 2023 Dollars</t>
    </r>
    <r>
      <rPr>
        <b/>
        <vertAlign val="superscript"/>
        <sz val="10"/>
        <color theme="1"/>
        <rFont val="Times New Roman"/>
        <family val="1"/>
      </rPr>
      <t>3</t>
    </r>
  </si>
  <si>
    <t>Cost Savings Attributable to Project Bundling</t>
  </si>
  <si>
    <r>
      <t>Estimated Non-federal Match Amount in 2023 Dollars</t>
    </r>
    <r>
      <rPr>
        <b/>
        <vertAlign val="superscript"/>
        <sz val="10"/>
        <color theme="1"/>
        <rFont val="Times New Roman"/>
        <family val="1"/>
      </rPr>
      <t>4</t>
    </r>
  </si>
  <si>
    <t>Non-federal Match %</t>
  </si>
  <si>
    <t>Match Source</t>
  </si>
  <si>
    <t>Total FY2023 Culvert AOP Request</t>
  </si>
  <si>
    <t>Downeast</t>
  </si>
  <si>
    <t>Beaver Brook</t>
  </si>
  <si>
    <t>John Erskine Bridge</t>
  </si>
  <si>
    <t>Jonesboro</t>
  </si>
  <si>
    <t>N/A</t>
  </si>
  <si>
    <t>Maine State Highway Fund</t>
  </si>
  <si>
    <t>Knowles Brook</t>
  </si>
  <si>
    <t>Addison</t>
  </si>
  <si>
    <t>Unnamed Stream</t>
  </si>
  <si>
    <t>Columbia Falls</t>
  </si>
  <si>
    <t>Bay Stream</t>
  </si>
  <si>
    <t>Gouldsboro</t>
  </si>
  <si>
    <t>TOTAL</t>
  </si>
  <si>
    <t xml:space="preserve"> </t>
  </si>
  <si>
    <r>
      <t xml:space="preserve">1 </t>
    </r>
    <r>
      <rPr>
        <sz val="10"/>
        <color theme="1"/>
        <rFont val="Times New Roman"/>
        <family val="1"/>
      </rPr>
      <t>MSHV = Maine Stream Habitat Viewer ID (https://webapps2.cgis-solutions.com/MaineStreamViewer/).</t>
    </r>
  </si>
  <si>
    <t>2 Includes PE and ROW.</t>
  </si>
  <si>
    <t>CE Costs</t>
  </si>
  <si>
    <t>Attachment 4 - Project Costs
MaineDOT and DMR FY2023-2026 Culvert AOP Application
Downeast Bundle
September 16, 2024</t>
  </si>
  <si>
    <r>
      <t>Total Construction Cost in 2023 Dollars</t>
    </r>
    <r>
      <rPr>
        <sz val="10"/>
        <color theme="1"/>
        <rFont val="Times New Roman"/>
        <family val="1"/>
      </rPr>
      <t xml:space="preserve"> (Bundled plus CE)</t>
    </r>
  </si>
  <si>
    <r>
      <rPr>
        <vertAlign val="superscript"/>
        <sz val="10"/>
        <color theme="1"/>
        <rFont val="Times New Roman"/>
        <family val="1"/>
      </rPr>
      <t>4</t>
    </r>
    <r>
      <rPr>
        <sz val="10"/>
        <color theme="1"/>
        <rFont val="Times New Roman"/>
        <family val="1"/>
      </rPr>
      <t xml:space="preserve"> Estimated project cost plus 10% based on PennDOT pilot program</t>
    </r>
  </si>
  <si>
    <r>
      <t>3</t>
    </r>
    <r>
      <rPr>
        <sz val="10"/>
        <color theme="1"/>
        <rFont val="Times New Roman"/>
        <family val="1"/>
      </rPr>
      <t xml:space="preserve"> with contingency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</si>
</sst>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theme="1"/>
      <name val="Times New Roman"/>
      <family val="1"/>
    </font>
    <font>
      <b/>
      <vertAlign val="superscript"/>
      <sz val="10"/>
      <color theme="1"/>
      <name val="Times New Roman"/>
      <family val="1"/>
    </font>
    <font>
      <sz val="10"/>
      <color theme="1"/>
      <name val="Times New Roman"/>
      <family val="1"/>
    </font>
    <font>
      <vertAlign val="superscript"/>
      <sz val="10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/>
      <bottom style="thick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164" fontId="4" fillId="4" borderId="6" xfId="1" applyNumberFormat="1" applyFont="1" applyFill="1" applyBorder="1" applyAlignment="1">
      <alignment horizontal="center" vertical="center" wrapText="1"/>
    </xf>
    <xf numFmtId="164" fontId="4" fillId="4" borderId="6" xfId="0" applyNumberFormat="1" applyFont="1" applyFill="1" applyBorder="1" applyAlignment="1">
      <alignment horizontal="center" vertical="center" wrapText="1"/>
    </xf>
    <xf numFmtId="164" fontId="4" fillId="4" borderId="7" xfId="0" applyNumberFormat="1" applyFont="1" applyFill="1" applyBorder="1" applyAlignment="1">
      <alignment horizontal="center" vertical="center" wrapText="1"/>
    </xf>
    <xf numFmtId="164" fontId="4" fillId="4" borderId="8" xfId="0" applyNumberFormat="1" applyFont="1" applyFill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9" fontId="4" fillId="4" borderId="6" xfId="0" applyNumberFormat="1" applyFont="1" applyFill="1" applyBorder="1" applyAlignment="1">
      <alignment horizontal="center" vertical="center" wrapText="1"/>
    </xf>
    <xf numFmtId="164" fontId="4" fillId="4" borderId="9" xfId="1" applyNumberFormat="1" applyFont="1" applyFill="1" applyBorder="1" applyAlignment="1">
      <alignment horizontal="center" vertical="center" wrapText="1"/>
    </xf>
    <xf numFmtId="49" fontId="4" fillId="4" borderId="6" xfId="0" applyNumberFormat="1" applyFont="1" applyFill="1" applyBorder="1" applyAlignment="1">
      <alignment horizontal="center" vertical="center" wrapText="1"/>
    </xf>
    <xf numFmtId="164" fontId="4" fillId="0" borderId="6" xfId="1" applyNumberFormat="1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4" fontId="4" fillId="4" borderId="11" xfId="1" applyNumberFormat="1" applyFont="1" applyFill="1" applyBorder="1" applyAlignment="1">
      <alignment horizontal="center" vertical="center" wrapText="1"/>
    </xf>
    <xf numFmtId="164" fontId="4" fillId="0" borderId="12" xfId="1" applyNumberFormat="1" applyFont="1" applyFill="1" applyBorder="1" applyAlignment="1">
      <alignment horizontal="center" vertical="center" wrapText="1"/>
    </xf>
    <xf numFmtId="164" fontId="4" fillId="4" borderId="12" xfId="0" applyNumberFormat="1" applyFont="1" applyFill="1" applyBorder="1" applyAlignment="1">
      <alignment horizontal="center" vertical="center" wrapText="1"/>
    </xf>
    <xf numFmtId="164" fontId="4" fillId="4" borderId="13" xfId="0" applyNumberFormat="1" applyFont="1" applyFill="1" applyBorder="1" applyAlignment="1">
      <alignment horizontal="center" vertical="center" wrapText="1"/>
    </xf>
    <xf numFmtId="164" fontId="4" fillId="4" borderId="14" xfId="0" applyNumberFormat="1" applyFont="1" applyFill="1" applyBorder="1" applyAlignment="1">
      <alignment horizontal="center" vertical="center" wrapText="1"/>
    </xf>
    <xf numFmtId="164" fontId="4" fillId="4" borderId="11" xfId="0" applyNumberFormat="1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right" vertical="center" wrapText="1"/>
    </xf>
    <xf numFmtId="164" fontId="2" fillId="4" borderId="15" xfId="0" applyNumberFormat="1" applyFont="1" applyFill="1" applyBorder="1" applyAlignment="1">
      <alignment horizontal="center" vertical="center" wrapText="1"/>
    </xf>
    <xf numFmtId="164" fontId="2" fillId="4" borderId="16" xfId="0" applyNumberFormat="1" applyFont="1" applyFill="1" applyBorder="1" applyAlignment="1">
      <alignment horizontal="center" vertical="center" wrapText="1"/>
    </xf>
    <xf numFmtId="164" fontId="2" fillId="4" borderId="17" xfId="0" applyNumberFormat="1" applyFont="1" applyFill="1" applyBorder="1" applyAlignment="1">
      <alignment horizontal="center" vertical="center" wrapText="1"/>
    </xf>
    <xf numFmtId="164" fontId="2" fillId="4" borderId="18" xfId="0" applyNumberFormat="1" applyFont="1" applyFill="1" applyBorder="1" applyAlignment="1">
      <alignment horizontal="center" vertical="center" wrapText="1"/>
    </xf>
    <xf numFmtId="164" fontId="2" fillId="5" borderId="16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/>
    </xf>
    <xf numFmtId="0" fontId="0" fillId="0" borderId="0" xfId="0" applyAlignment="1">
      <alignment vertical="center" wrapText="1"/>
    </xf>
    <xf numFmtId="164" fontId="2" fillId="0" borderId="0" xfId="0" applyNumberFormat="1" applyFont="1" applyAlignment="1">
      <alignment horizontal="center" vertical="center" wrapText="1"/>
    </xf>
    <xf numFmtId="0" fontId="4" fillId="0" borderId="0" xfId="0" applyFont="1"/>
    <xf numFmtId="164" fontId="0" fillId="0" borderId="0" xfId="0" applyNumberFormat="1" applyAlignment="1">
      <alignment vertical="center" wrapText="1"/>
    </xf>
    <xf numFmtId="16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0" fillId="0" borderId="19" xfId="0" applyBorder="1" applyAlignment="1"/>
    <xf numFmtId="0" fontId="2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64" fontId="2" fillId="4" borderId="0" xfId="0" applyNumberFormat="1" applyFont="1" applyFill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6" fontId="4" fillId="4" borderId="0" xfId="0" applyNumberFormat="1" applyFont="1" applyFill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39585-C81C-458D-9FA9-0D72959F6E83}">
  <dimension ref="A1:S15"/>
  <sheetViews>
    <sheetView tabSelected="1" topLeftCell="F1" workbookViewId="0">
      <selection activeCell="M4" sqref="M4"/>
    </sheetView>
  </sheetViews>
  <sheetFormatPr defaultRowHeight="14.4" x14ac:dyDescent="0.3"/>
  <cols>
    <col min="1" max="1" width="11.77734375" style="46" customWidth="1"/>
    <col min="2" max="2" width="18.44140625" style="46" customWidth="1"/>
    <col min="3" max="3" width="18.44140625" style="46" hidden="1" customWidth="1"/>
    <col min="4" max="4" width="10.21875" style="46" customWidth="1"/>
    <col min="5" max="5" width="12" style="46" customWidth="1"/>
    <col min="6" max="6" width="11.44140625" style="46" customWidth="1"/>
    <col min="7" max="9" width="13.5546875" style="46" customWidth="1"/>
    <col min="10" max="10" width="15.21875" style="46" customWidth="1"/>
    <col min="11" max="11" width="13.77734375" style="39" customWidth="1"/>
    <col min="12" max="12" width="17.77734375" style="39" customWidth="1"/>
    <col min="13" max="13" width="16" style="39" customWidth="1"/>
    <col min="14" max="15" width="13.44140625" style="39" customWidth="1"/>
    <col min="16" max="18" width="13.77734375" style="39" customWidth="1"/>
    <col min="19" max="19" width="16.21875" customWidth="1"/>
  </cols>
  <sheetData>
    <row r="1" spans="1:19" ht="63" customHeight="1" thickBot="1" x14ac:dyDescent="0.35">
      <c r="A1" s="47" t="s">
        <v>34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</row>
    <row r="2" spans="1:19" ht="80.400000000000006" thickTop="1" thickBot="1" x14ac:dyDescent="0.3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33</v>
      </c>
      <c r="I2" s="2" t="s">
        <v>7</v>
      </c>
      <c r="J2" s="2" t="s">
        <v>8</v>
      </c>
      <c r="K2" s="3" t="s">
        <v>9</v>
      </c>
      <c r="L2" s="2" t="s">
        <v>10</v>
      </c>
      <c r="M2" s="2" t="s">
        <v>11</v>
      </c>
      <c r="N2" s="4" t="s">
        <v>12</v>
      </c>
      <c r="O2" s="49" t="s">
        <v>35</v>
      </c>
      <c r="P2" s="2" t="s">
        <v>13</v>
      </c>
      <c r="Q2" s="2" t="s">
        <v>14</v>
      </c>
      <c r="R2" s="2" t="s">
        <v>15</v>
      </c>
      <c r="S2" s="2" t="s">
        <v>16</v>
      </c>
    </row>
    <row r="3" spans="1:19" ht="27" thickTop="1" x14ac:dyDescent="0.3">
      <c r="A3" s="5" t="s">
        <v>17</v>
      </c>
      <c r="B3" s="6" t="s">
        <v>18</v>
      </c>
      <c r="C3" s="7" t="s">
        <v>19</v>
      </c>
      <c r="D3" s="7">
        <v>51817</v>
      </c>
      <c r="E3" s="7">
        <v>3295</v>
      </c>
      <c r="F3" s="7" t="s">
        <v>20</v>
      </c>
      <c r="G3" s="8">
        <f>ROUNDUP((J3*0.22),-2)</f>
        <v>550000</v>
      </c>
      <c r="H3" s="53">
        <v>250000</v>
      </c>
      <c r="I3" s="8" t="s">
        <v>21</v>
      </c>
      <c r="J3" s="8">
        <v>2500000</v>
      </c>
      <c r="K3" s="8">
        <f>(J3*0.1)</f>
        <v>250000</v>
      </c>
      <c r="L3" s="9">
        <v>2500000</v>
      </c>
      <c r="M3" s="9">
        <v>2750000</v>
      </c>
      <c r="N3" s="10">
        <f t="shared" ref="N3:N8" si="0">M3-L3</f>
        <v>250000</v>
      </c>
      <c r="O3" s="11">
        <f>J3+K3</f>
        <v>2750000</v>
      </c>
      <c r="P3" s="12">
        <f>O3*0.2</f>
        <v>550000</v>
      </c>
      <c r="Q3" s="13">
        <v>0.2</v>
      </c>
      <c r="R3" s="14" t="s">
        <v>22</v>
      </c>
      <c r="S3" s="9">
        <f>O3*0.8</f>
        <v>2200000</v>
      </c>
    </row>
    <row r="4" spans="1:19" ht="26.4" x14ac:dyDescent="0.3">
      <c r="A4" s="5"/>
      <c r="B4" s="6" t="s">
        <v>23</v>
      </c>
      <c r="C4" s="7" t="s">
        <v>21</v>
      </c>
      <c r="D4" s="7">
        <v>50492</v>
      </c>
      <c r="E4" s="15">
        <v>3754</v>
      </c>
      <c r="F4" s="7" t="s">
        <v>24</v>
      </c>
      <c r="G4" s="8">
        <f t="shared" ref="G4:G8" si="1">ROUNDUP((J4*0.22),-2)</f>
        <v>1605500</v>
      </c>
      <c r="H4" s="8">
        <v>729740</v>
      </c>
      <c r="I4" s="8">
        <f>ROUNDUP((225047),-2)</f>
        <v>225100</v>
      </c>
      <c r="J4" s="8">
        <v>7297340</v>
      </c>
      <c r="K4" s="8">
        <f>ROUNDUP((J4*0.1),-2)</f>
        <v>729800</v>
      </c>
      <c r="L4" s="9">
        <v>7297400</v>
      </c>
      <c r="M4" s="9">
        <v>8027140</v>
      </c>
      <c r="N4" s="10">
        <f t="shared" si="0"/>
        <v>729740</v>
      </c>
      <c r="O4" s="11">
        <f t="shared" ref="O4:O8" si="2">J4+K4</f>
        <v>8027140</v>
      </c>
      <c r="P4" s="12">
        <f>O4*0.2</f>
        <v>1605428</v>
      </c>
      <c r="Q4" s="13">
        <v>0.2</v>
      </c>
      <c r="R4" s="14" t="s">
        <v>22</v>
      </c>
      <c r="S4" s="9">
        <f>O4*0.8</f>
        <v>6421712</v>
      </c>
    </row>
    <row r="5" spans="1:19" ht="26.4" x14ac:dyDescent="0.3">
      <c r="A5" s="5"/>
      <c r="B5" s="6" t="s">
        <v>25</v>
      </c>
      <c r="C5" s="7" t="s">
        <v>21</v>
      </c>
      <c r="D5" s="7">
        <v>50395</v>
      </c>
      <c r="E5" s="7">
        <v>153705</v>
      </c>
      <c r="F5" s="7" t="s">
        <v>26</v>
      </c>
      <c r="G5" s="8">
        <f t="shared" si="1"/>
        <v>220000</v>
      </c>
      <c r="H5" s="8">
        <v>100000</v>
      </c>
      <c r="I5" s="8" t="s">
        <v>21</v>
      </c>
      <c r="J5" s="8">
        <v>1000000</v>
      </c>
      <c r="K5" s="8">
        <f t="shared" ref="K5:K8" si="3">(J5*0.1)</f>
        <v>100000</v>
      </c>
      <c r="L5" s="9">
        <v>1000000</v>
      </c>
      <c r="M5" s="9">
        <f t="shared" ref="M4:M8" si="4">ROUNDUP(((L5*0.1)+L5),-2)</f>
        <v>1100000</v>
      </c>
      <c r="N5" s="10">
        <f t="shared" si="0"/>
        <v>100000</v>
      </c>
      <c r="O5" s="11">
        <f t="shared" si="2"/>
        <v>1100000</v>
      </c>
      <c r="P5" s="12">
        <f>O5*0.2</f>
        <v>220000</v>
      </c>
      <c r="Q5" s="13">
        <v>0.2</v>
      </c>
      <c r="R5" s="14" t="s">
        <v>22</v>
      </c>
      <c r="S5" s="9">
        <f>O5*0.8</f>
        <v>880000</v>
      </c>
    </row>
    <row r="6" spans="1:19" ht="26.4" x14ac:dyDescent="0.3">
      <c r="A6" s="5"/>
      <c r="B6" s="6" t="s">
        <v>25</v>
      </c>
      <c r="C6" s="15" t="s">
        <v>21</v>
      </c>
      <c r="D6" s="15">
        <v>51021</v>
      </c>
      <c r="E6" s="7">
        <v>153683</v>
      </c>
      <c r="F6" s="15" t="s">
        <v>26</v>
      </c>
      <c r="G6" s="8">
        <f t="shared" si="1"/>
        <v>220000</v>
      </c>
      <c r="H6" s="8">
        <v>100000</v>
      </c>
      <c r="I6" s="8" t="s">
        <v>21</v>
      </c>
      <c r="J6" s="8">
        <v>1000000</v>
      </c>
      <c r="K6" s="16">
        <f t="shared" si="3"/>
        <v>100000</v>
      </c>
      <c r="L6" s="9">
        <v>1000000</v>
      </c>
      <c r="M6" s="9">
        <f t="shared" si="4"/>
        <v>1100000</v>
      </c>
      <c r="N6" s="10">
        <f t="shared" si="0"/>
        <v>100000</v>
      </c>
      <c r="O6" s="11">
        <f t="shared" si="2"/>
        <v>1100000</v>
      </c>
      <c r="P6" s="12">
        <f>O6*0.2</f>
        <v>220000</v>
      </c>
      <c r="Q6" s="13">
        <v>0.2</v>
      </c>
      <c r="R6" s="14" t="s">
        <v>22</v>
      </c>
      <c r="S6" s="9">
        <f>O6*0.8</f>
        <v>880000</v>
      </c>
    </row>
    <row r="7" spans="1:19" ht="26.4" x14ac:dyDescent="0.3">
      <c r="A7" s="5"/>
      <c r="B7" s="6" t="s">
        <v>25</v>
      </c>
      <c r="C7" s="15" t="s">
        <v>21</v>
      </c>
      <c r="D7" s="7">
        <v>50628</v>
      </c>
      <c r="E7" s="7">
        <v>772359</v>
      </c>
      <c r="F7" s="15" t="s">
        <v>26</v>
      </c>
      <c r="G7" s="8">
        <f t="shared" si="1"/>
        <v>220000</v>
      </c>
      <c r="H7" s="8">
        <v>100000</v>
      </c>
      <c r="I7" s="8" t="s">
        <v>21</v>
      </c>
      <c r="J7" s="8">
        <v>1000000</v>
      </c>
      <c r="K7" s="16">
        <f t="shared" si="3"/>
        <v>100000</v>
      </c>
      <c r="L7" s="9">
        <v>1000000</v>
      </c>
      <c r="M7" s="9">
        <f t="shared" si="4"/>
        <v>1100000</v>
      </c>
      <c r="N7" s="10">
        <f t="shared" si="0"/>
        <v>100000</v>
      </c>
      <c r="O7" s="11">
        <f t="shared" si="2"/>
        <v>1100000</v>
      </c>
      <c r="P7" s="12">
        <f>O7*0.2</f>
        <v>220000</v>
      </c>
      <c r="Q7" s="13">
        <v>0.2</v>
      </c>
      <c r="R7" s="14" t="s">
        <v>22</v>
      </c>
      <c r="S7" s="9">
        <f>O7*0.8</f>
        <v>880000</v>
      </c>
    </row>
    <row r="8" spans="1:19" ht="27" thickBot="1" x14ac:dyDescent="0.35">
      <c r="A8" s="17"/>
      <c r="B8" s="18" t="s">
        <v>27</v>
      </c>
      <c r="C8" s="19" t="s">
        <v>21</v>
      </c>
      <c r="D8" s="19">
        <v>50938</v>
      </c>
      <c r="E8" s="19">
        <v>2783</v>
      </c>
      <c r="F8" s="19" t="s">
        <v>28</v>
      </c>
      <c r="G8" s="20">
        <f t="shared" si="1"/>
        <v>880000</v>
      </c>
      <c r="H8" s="20">
        <v>400000</v>
      </c>
      <c r="I8" s="20" t="s">
        <v>21</v>
      </c>
      <c r="J8" s="20">
        <v>4000000</v>
      </c>
      <c r="K8" s="21">
        <f t="shared" si="3"/>
        <v>400000</v>
      </c>
      <c r="L8" s="22">
        <v>4000000</v>
      </c>
      <c r="M8" s="22">
        <f t="shared" si="4"/>
        <v>4400000</v>
      </c>
      <c r="N8" s="23">
        <f t="shared" si="0"/>
        <v>400000</v>
      </c>
      <c r="O8" s="24">
        <f t="shared" si="2"/>
        <v>4400000</v>
      </c>
      <c r="P8" s="12">
        <f>O8*0.2</f>
        <v>880000</v>
      </c>
      <c r="Q8" s="13">
        <v>0.2</v>
      </c>
      <c r="R8" s="14" t="s">
        <v>22</v>
      </c>
      <c r="S8" s="25">
        <f>O8*0.8</f>
        <v>3520000</v>
      </c>
    </row>
    <row r="9" spans="1:19" ht="15.6" thickTop="1" thickBot="1" x14ac:dyDescent="0.35">
      <c r="A9" s="26"/>
      <c r="B9" s="26"/>
      <c r="C9" s="26"/>
      <c r="D9" s="26"/>
      <c r="E9" s="26"/>
      <c r="F9" s="27" t="s">
        <v>29</v>
      </c>
      <c r="G9" s="28">
        <f t="shared" ref="G9:P9" si="5">SUM(G3:G8)</f>
        <v>3695500</v>
      </c>
      <c r="H9" s="28">
        <f>SUM(H3:H8)</f>
        <v>1679740</v>
      </c>
      <c r="I9" s="28">
        <f>SUM(I3:I8)</f>
        <v>225100</v>
      </c>
      <c r="J9" s="29">
        <f t="shared" si="5"/>
        <v>16797340</v>
      </c>
      <c r="K9" s="30">
        <f t="shared" si="5"/>
        <v>1679800</v>
      </c>
      <c r="L9" s="30">
        <f t="shared" si="5"/>
        <v>16797400</v>
      </c>
      <c r="M9" s="30">
        <f t="shared" si="5"/>
        <v>18477140</v>
      </c>
      <c r="N9" s="31">
        <f t="shared" si="5"/>
        <v>1679740</v>
      </c>
      <c r="O9" s="31">
        <f t="shared" si="5"/>
        <v>18477140</v>
      </c>
      <c r="P9" s="29">
        <f t="shared" si="5"/>
        <v>3695428</v>
      </c>
      <c r="Q9" s="32"/>
      <c r="R9" s="32"/>
      <c r="S9" s="29">
        <f>SUM(S3:S8)</f>
        <v>14781712</v>
      </c>
    </row>
    <row r="10" spans="1:19" ht="21" customHeight="1" x14ac:dyDescent="0.3">
      <c r="A10" s="33" t="s">
        <v>30</v>
      </c>
      <c r="B10" s="34"/>
      <c r="C10" s="34"/>
      <c r="D10" s="34"/>
      <c r="E10" s="34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</row>
    <row r="11" spans="1:19" ht="15.6" x14ac:dyDescent="0.3">
      <c r="A11" s="36" t="s">
        <v>31</v>
      </c>
      <c r="B11" s="37"/>
      <c r="C11" s="37"/>
      <c r="D11" s="37"/>
      <c r="E11" s="37"/>
      <c r="F11" s="37"/>
      <c r="G11" s="37"/>
      <c r="H11" s="37"/>
      <c r="I11" s="37"/>
      <c r="J11" s="37"/>
      <c r="K11" s="38"/>
      <c r="L11" s="38"/>
      <c r="M11" s="38"/>
    </row>
    <row r="12" spans="1:19" x14ac:dyDescent="0.3">
      <c r="A12" s="40" t="s">
        <v>32</v>
      </c>
      <c r="B12"/>
      <c r="C12"/>
      <c r="D12"/>
      <c r="E12"/>
      <c r="F12"/>
      <c r="G12"/>
      <c r="H12"/>
      <c r="I12"/>
      <c r="J12"/>
      <c r="K12" s="41"/>
      <c r="L12" s="41"/>
      <c r="M12" s="42"/>
      <c r="N12" s="42"/>
      <c r="O12" s="42"/>
      <c r="P12" s="42"/>
      <c r="Q12" s="42"/>
      <c r="R12" s="42"/>
    </row>
    <row r="13" spans="1:19" ht="15" customHeight="1" x14ac:dyDescent="0.3">
      <c r="A13" s="33" t="s">
        <v>37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42"/>
      <c r="M13" s="42"/>
      <c r="N13" s="51"/>
      <c r="O13" s="42"/>
      <c r="P13" s="42"/>
      <c r="Q13" s="42"/>
      <c r="R13"/>
    </row>
    <row r="14" spans="1:19" ht="16.2" x14ac:dyDescent="0.3">
      <c r="A14" s="43" t="s">
        <v>36</v>
      </c>
      <c r="B14"/>
      <c r="C14"/>
      <c r="D14"/>
      <c r="E14"/>
      <c r="F14"/>
      <c r="G14" s="41"/>
      <c r="H14"/>
      <c r="I14"/>
      <c r="J14" s="41"/>
      <c r="K14" s="41"/>
      <c r="L14" s="44"/>
      <c r="M14" s="41"/>
      <c r="N14" s="52"/>
      <c r="O14" s="41" t="s">
        <v>30</v>
      </c>
      <c r="P14" s="45"/>
      <c r="Q14" s="45"/>
      <c r="R14"/>
    </row>
    <row r="15" spans="1:19" x14ac:dyDescent="0.3">
      <c r="A15"/>
      <c r="B15"/>
      <c r="C15"/>
      <c r="D15"/>
      <c r="E15"/>
      <c r="F15"/>
      <c r="G15" s="39"/>
      <c r="H15" s="39"/>
      <c r="I15" s="39"/>
      <c r="J15" s="39"/>
      <c r="M15" s="41"/>
      <c r="N15" s="41"/>
      <c r="O15" s="41"/>
      <c r="P15" s="41"/>
    </row>
  </sheetData>
  <mergeCells count="5">
    <mergeCell ref="A3:A8"/>
    <mergeCell ref="A10:R10"/>
    <mergeCell ref="A11:J11"/>
    <mergeCell ref="A1:S1"/>
    <mergeCell ref="A13:K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Baugh, Benny J</dc:creator>
  <cp:lastModifiedBy>Baugh, Benny J</cp:lastModifiedBy>
  <dcterms:created xsi:type="dcterms:W3CDTF">2024-09-19T15:20:59Z</dcterms:created>
  <dcterms:modified xsi:type="dcterms:W3CDTF">2024-09-19T18:10:04Z</dcterms:modified>
</cp:coreProperties>
</file>